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77B97CB0-7AEC-4AEB-B441-4A996D2C69F8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1" r:id="rId1"/>
    <sheet name="Table Games" sheetId="2" r:id="rId2"/>
    <sheet name="Video Lottery" sheetId="3" r:id="rId3"/>
  </sheets>
  <definedNames>
    <definedName name="_xlnm.Print_Area" localSheetId="0">Summary!$A$1:$N$16</definedName>
    <definedName name="_xlnm.Print_Area" localSheetId="1">'Table Games'!$A$1:$L$13</definedName>
    <definedName name="_xlnm.Print_Area" localSheetId="2">'Video Lottery'!$A$1:$M$13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G11" i="1"/>
  <c r="C11" i="1"/>
  <c r="B11" i="1"/>
  <c r="C8" i="2"/>
  <c r="C7" i="3"/>
  <c r="C7" i="2"/>
  <c r="G10" i="1"/>
  <c r="C10" i="1"/>
  <c r="B10" i="1"/>
  <c r="C6" i="2"/>
  <c r="D11" i="1" l="1"/>
  <c r="D8" i="3"/>
  <c r="E8" i="3"/>
  <c r="F11" i="1" s="1"/>
  <c r="D10" i="1"/>
  <c r="D8" i="2"/>
  <c r="E7" i="3"/>
  <c r="F10" i="1" s="1"/>
  <c r="D7" i="3"/>
  <c r="G7" i="3" s="1"/>
  <c r="D7" i="2"/>
  <c r="C6" i="3"/>
  <c r="F8" i="2" l="1"/>
  <c r="E11" i="1"/>
  <c r="G8" i="3"/>
  <c r="L7" i="3"/>
  <c r="K7" i="3"/>
  <c r="H7" i="3"/>
  <c r="M7" i="3"/>
  <c r="F7" i="2"/>
  <c r="E10" i="1"/>
  <c r="I7" i="3"/>
  <c r="J7" i="3"/>
  <c r="B10" i="3"/>
  <c r="L8" i="2" l="1"/>
  <c r="J8" i="2"/>
  <c r="K8" i="2"/>
  <c r="M8" i="3"/>
  <c r="K8" i="3"/>
  <c r="H8" i="3"/>
  <c r="L8" i="3"/>
  <c r="H11" i="1"/>
  <c r="G8" i="2"/>
  <c r="I8" i="2"/>
  <c r="H8" i="2"/>
  <c r="I8" i="3"/>
  <c r="J8" i="3"/>
  <c r="G7" i="2"/>
  <c r="K7" i="2"/>
  <c r="J7" i="2"/>
  <c r="L7" i="2"/>
  <c r="N10" i="1" s="1"/>
  <c r="M10" i="1"/>
  <c r="H10" i="1"/>
  <c r="L10" i="1"/>
  <c r="I10" i="1"/>
  <c r="H7" i="2"/>
  <c r="J10" i="1" s="1"/>
  <c r="I7" i="2"/>
  <c r="K10" i="1" s="1"/>
  <c r="D6" i="3"/>
  <c r="M11" i="1" l="1"/>
  <c r="L11" i="1"/>
  <c r="N11" i="1"/>
  <c r="J11" i="1"/>
  <c r="K11" i="1"/>
  <c r="I11" i="1"/>
  <c r="E10" i="2"/>
  <c r="B10" i="2"/>
  <c r="G9" i="1" l="1"/>
  <c r="C9" i="1"/>
  <c r="B9" i="1"/>
  <c r="B13" i="1" s="1"/>
  <c r="E6" i="3"/>
  <c r="G6" i="3" s="1"/>
  <c r="M6" i="3" l="1"/>
  <c r="L6" i="3"/>
  <c r="H6" i="3"/>
  <c r="K6" i="3"/>
  <c r="D9" i="1"/>
  <c r="C10" i="2"/>
  <c r="F9" i="1"/>
  <c r="D6" i="2"/>
  <c r="J6" i="3"/>
  <c r="I6" i="3"/>
  <c r="D10" i="2" l="1"/>
  <c r="F6" i="2"/>
  <c r="E9" i="1"/>
  <c r="L6" i="2" l="1"/>
  <c r="J6" i="2"/>
  <c r="G6" i="2"/>
  <c r="G10" i="2" s="1"/>
  <c r="K6" i="2"/>
  <c r="L10" i="2"/>
  <c r="J10" i="2"/>
  <c r="K10" i="2"/>
  <c r="H9" i="1"/>
  <c r="F10" i="2"/>
  <c r="I6" i="2"/>
  <c r="H6" i="2"/>
  <c r="N9" i="1" l="1"/>
  <c r="K9" i="1"/>
  <c r="I10" i="2"/>
  <c r="L9" i="1"/>
  <c r="I9" i="1"/>
  <c r="J9" i="1"/>
  <c r="H10" i="2"/>
  <c r="M9" i="1"/>
  <c r="G13" i="1"/>
  <c r="C13" i="1"/>
  <c r="C10" i="3"/>
  <c r="F10" i="3"/>
  <c r="D10" i="3" l="1"/>
  <c r="F13" i="1"/>
  <c r="D13" i="1"/>
  <c r="E10" i="3" l="1"/>
  <c r="E13" i="1"/>
  <c r="M10" i="3" l="1"/>
  <c r="L10" i="3"/>
  <c r="H10" i="3"/>
  <c r="K10" i="3"/>
  <c r="J10" i="3"/>
  <c r="G10" i="3"/>
  <c r="I10" i="3"/>
  <c r="H13" i="1"/>
  <c r="M13" i="1" l="1"/>
  <c r="K13" i="1"/>
  <c r="I13" i="1"/>
  <c r="L13" i="1"/>
  <c r="J13" i="1"/>
  <c r="N13" i="1"/>
</calcChain>
</file>

<file path=xl/sharedStrings.xml><?xml version="1.0" encoding="utf-8"?>
<sst xmlns="http://schemas.openxmlformats.org/spreadsheetml/2006/main" count="56" uniqueCount="28">
  <si>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</si>
  <si>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</si>
  <si>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</si>
  <si>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</si>
  <si>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</si>
  <si>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</si>
  <si>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</si>
  <si>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</si>
  <si>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</si>
  <si>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</si>
  <si>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</si>
  <si>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</si>
  <si>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</si>
  <si>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</si>
  <si>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</si>
  <si>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</si>
  <si>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</si>
  <si>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</si>
  <si>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</si>
  <si>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All Other
Counties (54) *</t>
  </si>
  <si>
    <t>Municipalities
In Greenbrier
County (7) *</t>
  </si>
  <si>
    <t>All Other
Municipalities (221) *</t>
  </si>
  <si>
    <t>FY 2025</t>
  </si>
  <si>
    <t>FISCAL YEAR 2026</t>
  </si>
  <si>
    <t>July 2025</t>
  </si>
  <si>
    <t>August 2025</t>
  </si>
  <si>
    <t>FOR THE MONTH ENDING SEPTEMBER 30, 2025</t>
  </si>
  <si>
    <t>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</si>
</sst>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7" fontId="0" fillId="0" borderId="0" xfId="0" quotePrefix="1" applyNumberForma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5"/>
  <sheetViews>
    <sheetView tabSelected="1" workbookViewId="0">
      <selection activeCell="A12" sqref="A12"/>
    </sheetView>
  </sheetViews>
  <sheetFormatPr defaultRowHeight="15" customHeight="1" x14ac:dyDescent="0.2"/>
  <cols>
    <col min="1" max="1" width="16.140625" style="1" customWidth="1"/>
    <col min="2" max="3" width="14.28515625" style="1" bestFit="1" customWidth="1"/>
    <col min="4" max="4" width="14.85546875" style="1" customWidth="1"/>
    <col min="5" max="5" width="13" style="1" customWidth="1"/>
    <col min="6" max="7" width="11.7109375" style="1" customWidth="1"/>
    <col min="8" max="8" width="15.140625" style="1" customWidth="1"/>
    <col min="9" max="9" width="14.7109375" style="1" customWidth="1"/>
    <col min="10" max="10" width="13.28515625" style="1" customWidth="1"/>
    <col min="11" max="11" width="11.7109375" style="1" customWidth="1"/>
    <col min="12" max="12" width="13.7109375" style="1" bestFit="1" customWidth="1"/>
    <col min="13" max="13" width="11.7109375" style="1" customWidth="1"/>
    <col min="14" max="14" width="15.140625" style="1" bestFit="1" customWidth="1"/>
    <col min="15" max="16384" width="9.140625" style="1"/>
  </cols>
  <sheetData>
    <row r="1" spans="1:14" ht="18.75" x14ac:dyDescent="0.3">
      <c r="A1" s="9" t="s">
        <v>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5.75" x14ac:dyDescent="0.25">
      <c r="A2" s="10" t="s">
        <v>17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.75" x14ac:dyDescent="0.25">
      <c r="A3" s="10" t="s">
        <v>26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.75" x14ac:dyDescent="0.25">
      <c r="A4" s="10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7" spans="1:14" customFormat="1" ht="45" x14ac:dyDescent="0.25">
      <c r="B7" s="2" t="s">
        <v>0</v>
      </c>
      <c r="C7" s="2" t="s">
        <v>1</v>
      </c>
      <c r="D7" s="2" t="s">
        <v>2</v>
      </c>
      <c r="E7" s="2" t="s">
        <v>12</v>
      </c>
      <c r="F7" s="2" t="s">
        <v>3</v>
      </c>
      <c r="G7" s="3" t="s">
        <v>4</v>
      </c>
      <c r="H7" s="2" t="s">
        <v>16</v>
      </c>
      <c r="I7" s="2" t="s">
        <v>3</v>
      </c>
      <c r="J7" s="2" t="s">
        <v>18</v>
      </c>
      <c r="K7" s="2" t="s">
        <v>5</v>
      </c>
      <c r="L7" s="2" t="s">
        <v>20</v>
      </c>
      <c r="M7" s="2" t="s">
        <v>19</v>
      </c>
      <c r="N7" s="2" t="s">
        <v>21</v>
      </c>
    </row>
    <row r="8" spans="1:14" customFormat="1" ht="15" customHeight="1" x14ac:dyDescent="0.25"/>
    <row r="9" spans="1:14" customFormat="1" ht="15" customHeight="1" x14ac:dyDescent="0.25">
      <c r="A9" s="4" t="s">
        <v>24</v>
      </c>
      <c r="B9" s="5">
        <f>'Table Games'!B6</f>
        <v>384463.75</v>
      </c>
      <c r="C9" s="5">
        <f>'Video Lottery'!B6</f>
        <v>191312.05000000005</v>
      </c>
      <c r="D9" s="5">
        <f>'Table Games'!C6+'Video Lottery'!C6</f>
        <v>184211.49</v>
      </c>
      <c r="E9" s="5">
        <f>'Table Games'!D6+'Video Lottery'!D6</f>
        <v>27631.72</v>
      </c>
      <c r="F9" s="5">
        <f>'Video Lottery'!E6</f>
        <v>1721.81</v>
      </c>
      <c r="G9" s="5">
        <f>'Table Games'!E6+'Video Lottery'!F6</f>
        <v>3229.6</v>
      </c>
      <c r="H9" s="5">
        <f>'Table Games'!F6+'Video Lottery'!G6</f>
        <v>158087.56</v>
      </c>
      <c r="I9" s="5">
        <f>'Table Games'!G6+'Video Lottery'!H6</f>
        <v>135955.30000000002</v>
      </c>
      <c r="J9" s="5">
        <f>'Table Games'!H6+'Video Lottery'!I6</f>
        <v>6323.5</v>
      </c>
      <c r="K9" s="5">
        <f>'Table Games'!I6+'Video Lottery'!J6</f>
        <v>3952.1899999999996</v>
      </c>
      <c r="L9" s="5">
        <f>'Table Games'!J6+'Video Lottery'!K6</f>
        <v>3952.2</v>
      </c>
      <c r="M9" s="5">
        <f>'Table Games'!K6+'Video Lottery'!L6</f>
        <v>3952.2599999999998</v>
      </c>
      <c r="N9" s="5">
        <f>'Table Games'!L6+'Video Lottery'!M6</f>
        <v>3953.6899999999996</v>
      </c>
    </row>
    <row r="10" spans="1:14" customFormat="1" ht="15" customHeight="1" x14ac:dyDescent="0.25">
      <c r="A10" s="4" t="s">
        <v>25</v>
      </c>
      <c r="B10" s="5">
        <f>'Table Games'!B7</f>
        <v>245511.5</v>
      </c>
      <c r="C10" s="5">
        <f>'Video Lottery'!B7</f>
        <v>380360.6</v>
      </c>
      <c r="D10" s="5">
        <f>'Table Games'!C7+'Video Lottery'!C7</f>
        <v>210583.27000000002</v>
      </c>
      <c r="E10" s="5">
        <f>'Table Games'!D7+'Video Lottery'!D7</f>
        <v>31587.49</v>
      </c>
      <c r="F10" s="5">
        <f>'Video Lottery'!E7</f>
        <v>3423.25</v>
      </c>
      <c r="G10" s="5">
        <f>'Table Games'!E7+'Video Lottery'!F7</f>
        <v>3172.13</v>
      </c>
      <c r="H10" s="5">
        <f>'Table Games'!F7+'Video Lottery'!G7</f>
        <v>178744.66000000003</v>
      </c>
      <c r="I10" s="5">
        <f>'Table Games'!G7+'Video Lottery'!H7</f>
        <v>153720.38999999998</v>
      </c>
      <c r="J10" s="5">
        <f>'Table Games'!H7+'Video Lottery'!I7</f>
        <v>7149.79</v>
      </c>
      <c r="K10" s="5">
        <f>'Table Games'!I7+'Video Lottery'!J7</f>
        <v>4468.62</v>
      </c>
      <c r="L10" s="5">
        <f>'Table Games'!J7+'Video Lottery'!K7</f>
        <v>4468.66</v>
      </c>
      <c r="M10" s="5">
        <f>'Table Games'!K7+'Video Lottery'!L7</f>
        <v>4469.04</v>
      </c>
      <c r="N10" s="5">
        <f>'Table Games'!L7+'Video Lottery'!M7</f>
        <v>4468.62</v>
      </c>
    </row>
    <row r="11" spans="1:14" customFormat="1" ht="15" customHeight="1" x14ac:dyDescent="0.25">
      <c r="A11" s="4" t="s">
        <v>27</v>
      </c>
      <c r="B11" s="5">
        <f>'Table Games'!B8</f>
        <v>419235</v>
      </c>
      <c r="C11" s="5">
        <f>'Video Lottery'!B8</f>
        <v>143299.09</v>
      </c>
      <c r="D11" s="5">
        <f>'Table Games'!C8+'Video Lottery'!C8</f>
        <v>177358.14</v>
      </c>
      <c r="E11" s="5">
        <f>'Table Games'!D8+'Video Lottery'!D8</f>
        <v>26603.730000000003</v>
      </c>
      <c r="F11" s="5">
        <f>'Video Lottery'!E8</f>
        <v>1289.69</v>
      </c>
      <c r="G11" s="5">
        <f>'Table Games'!E8+'Video Lottery'!F8</f>
        <v>2707.79</v>
      </c>
      <c r="H11" s="5">
        <f>'Table Games'!F8+'Video Lottery'!G8</f>
        <v>152172.50999999998</v>
      </c>
      <c r="I11" s="5">
        <f>'Table Games'!G8+'Video Lottery'!H8</f>
        <v>130868.37</v>
      </c>
      <c r="J11" s="5">
        <f>'Table Games'!H8+'Video Lottery'!I8</f>
        <v>6086.9000000000005</v>
      </c>
      <c r="K11" s="5">
        <f>'Table Games'!I8+'Video Lottery'!J8</f>
        <v>3804.3099999999995</v>
      </c>
      <c r="L11" s="5">
        <f>'Table Games'!J8+'Video Lottery'!K8</f>
        <v>3804.2899999999995</v>
      </c>
      <c r="M11" s="5">
        <f>'Table Games'!K8+'Video Lottery'!L8</f>
        <v>3804.2999999999993</v>
      </c>
      <c r="N11" s="5">
        <f>'Table Games'!L8+'Video Lottery'!M8</f>
        <v>3803.41</v>
      </c>
    </row>
    <row r="12" spans="1:14" customFormat="1" ht="15" customHeight="1" x14ac:dyDescent="0.25"/>
    <row r="13" spans="1:14" customFormat="1" ht="15" customHeight="1" thickBot="1" x14ac:dyDescent="0.3">
      <c r="B13" s="6">
        <f t="shared" ref="B13:N13" si="0">SUM(B9:B12)</f>
        <v>1049210.25</v>
      </c>
      <c r="C13" s="6">
        <f t="shared" si="0"/>
        <v>714971.74</v>
      </c>
      <c r="D13" s="6">
        <f t="shared" si="0"/>
        <v>572152.9</v>
      </c>
      <c r="E13" s="6">
        <f t="shared" si="0"/>
        <v>85822.94</v>
      </c>
      <c r="F13" s="6">
        <f t="shared" si="0"/>
        <v>6434.75</v>
      </c>
      <c r="G13" s="6">
        <f t="shared" si="0"/>
        <v>9109.52</v>
      </c>
      <c r="H13" s="6">
        <f t="shared" si="0"/>
        <v>489004.73</v>
      </c>
      <c r="I13" s="6">
        <f t="shared" si="0"/>
        <v>420544.06</v>
      </c>
      <c r="J13" s="6">
        <f t="shared" si="0"/>
        <v>19560.190000000002</v>
      </c>
      <c r="K13" s="6">
        <f t="shared" si="0"/>
        <v>12225.119999999999</v>
      </c>
      <c r="L13" s="6">
        <f t="shared" si="0"/>
        <v>12225.15</v>
      </c>
      <c r="M13" s="6">
        <f t="shared" si="0"/>
        <v>12225.599999999999</v>
      </c>
      <c r="N13" s="6">
        <f t="shared" si="0"/>
        <v>12225.72</v>
      </c>
    </row>
    <row r="14" spans="1:14" ht="15" customHeight="1" thickTop="1" x14ac:dyDescent="0.2"/>
    <row r="15" spans="1:14" ht="15" customHeight="1" x14ac:dyDescent="0.2">
      <c r="A15" s="7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workbookViewId="0">
      <pane ySplit="3" topLeftCell="A4" activePane="bottomLeft" state="frozen"/>
      <selection pane="bottomLeft" activeCell="A9" sqref="A9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1.7109375" customWidth="1"/>
    <col min="6" max="6" width="14.85546875" customWidth="1"/>
    <col min="7" max="7" width="14.28515625" bestFit="1" customWidth="1"/>
    <col min="8" max="9" width="11.7109375" customWidth="1"/>
    <col min="10" max="10" width="13.7109375" bestFit="1" customWidth="1"/>
    <col min="11" max="11" width="11.7109375" customWidth="1"/>
    <col min="12" max="12" width="15.140625" bestFit="1" customWidth="1"/>
  </cols>
  <sheetData>
    <row r="1" spans="1:12" ht="45" x14ac:dyDescent="0.25">
      <c r="B1" s="2" t="s">
        <v>10</v>
      </c>
      <c r="C1" s="2" t="s">
        <v>2</v>
      </c>
      <c r="D1" s="2" t="s">
        <v>12</v>
      </c>
      <c r="E1" s="3" t="s">
        <v>4</v>
      </c>
      <c r="F1" s="2" t="s">
        <v>15</v>
      </c>
      <c r="G1" s="2" t="s">
        <v>3</v>
      </c>
      <c r="H1" s="2" t="s">
        <v>18</v>
      </c>
      <c r="I1" s="2" t="s">
        <v>5</v>
      </c>
      <c r="J1" s="2" t="s">
        <v>6</v>
      </c>
      <c r="K1" s="2" t="s">
        <v>7</v>
      </c>
      <c r="L1" s="2" t="s">
        <v>8</v>
      </c>
    </row>
    <row r="2" spans="1:12" ht="15" customHeight="1" x14ac:dyDescent="0.25">
      <c r="A2" s="4" t="s">
        <v>22</v>
      </c>
      <c r="B2" s="5">
        <v>4873397.25</v>
      </c>
      <c r="C2" s="5">
        <v>1462019.2</v>
      </c>
      <c r="D2" s="5">
        <v>219302.88</v>
      </c>
      <c r="E2" s="5">
        <v>26408.89</v>
      </c>
      <c r="F2" s="5">
        <v>1269125.2100000002</v>
      </c>
      <c r="G2" s="5">
        <v>1091447.6499999999</v>
      </c>
      <c r="H2" s="5">
        <v>50765</v>
      </c>
      <c r="I2" s="5">
        <v>31728.14</v>
      </c>
      <c r="J2" s="5">
        <v>31728.119999999995</v>
      </c>
      <c r="K2" s="5">
        <v>31728.13</v>
      </c>
      <c r="L2" s="5">
        <v>31728.18</v>
      </c>
    </row>
    <row r="4" spans="1:12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6" spans="1:12" x14ac:dyDescent="0.25">
      <c r="A6" s="8" t="s">
        <v>24</v>
      </c>
      <c r="B6" s="5">
        <v>384463.75</v>
      </c>
      <c r="C6" s="5">
        <f>ROUND($B6*0.3,2)+0.01</f>
        <v>115339.14</v>
      </c>
      <c r="D6" s="5">
        <f t="shared" ref="D6:D8" si="0">ROUND($C6*0.15,2)</f>
        <v>17300.87</v>
      </c>
      <c r="E6" s="5">
        <v>1614.8</v>
      </c>
      <c r="F6" s="5">
        <f t="shared" ref="F6" si="1">C6-D6+E6</f>
        <v>99653.07</v>
      </c>
      <c r="G6" s="5">
        <f>ROUND($F6*0.86,2)-0.01</f>
        <v>85701.63</v>
      </c>
      <c r="H6" s="5">
        <f t="shared" ref="H6:H8" si="2">ROUND($F6*0.04,2)</f>
        <v>3986.12</v>
      </c>
      <c r="I6" s="5">
        <f t="shared" ref="I6:I8" si="3">ROUND($F6*0.025,2)</f>
        <v>2491.33</v>
      </c>
      <c r="J6" s="5">
        <f>ROUND($F6*0.025,2)+0.01</f>
        <v>2491.34</v>
      </c>
      <c r="K6" s="5">
        <f>ROUND($F6*0.025,2)+0.04</f>
        <v>2491.37</v>
      </c>
      <c r="L6" s="5">
        <f>ROUND($F6*0.025,2)+0.75</f>
        <v>2492.08</v>
      </c>
    </row>
    <row r="7" spans="1:12" x14ac:dyDescent="0.25">
      <c r="A7" s="8" t="s">
        <v>25</v>
      </c>
      <c r="B7" s="5">
        <v>245511.5</v>
      </c>
      <c r="C7" s="5">
        <f>ROUND($B7*0.3,2)-0.01</f>
        <v>73653.440000000002</v>
      </c>
      <c r="D7" s="5">
        <f t="shared" si="0"/>
        <v>11048.02</v>
      </c>
      <c r="E7" s="5">
        <v>1586.06</v>
      </c>
      <c r="F7" s="5">
        <f t="shared" ref="F7" si="4">C7-D7+E7</f>
        <v>64191.479999999996</v>
      </c>
      <c r="G7" s="5">
        <f>ROUND($F7*0.86,2)-0.01</f>
        <v>55204.659999999996</v>
      </c>
      <c r="H7" s="5">
        <f t="shared" si="2"/>
        <v>2567.66</v>
      </c>
      <c r="I7" s="5">
        <f t="shared" si="3"/>
        <v>1604.79</v>
      </c>
      <c r="J7" s="5">
        <f>ROUND($F7*0.025,2)+0.02</f>
        <v>1604.81</v>
      </c>
      <c r="K7" s="5">
        <f>ROUND($F7*0.025,2)+0.21</f>
        <v>1605</v>
      </c>
      <c r="L7" s="5">
        <f>ROUND($F7*0.025,2)</f>
        <v>1604.79</v>
      </c>
    </row>
    <row r="8" spans="1:12" x14ac:dyDescent="0.25">
      <c r="A8" s="8" t="s">
        <v>27</v>
      </c>
      <c r="B8" s="5">
        <v>419235</v>
      </c>
      <c r="C8" s="5">
        <f>ROUND($B8*0.3,2)</f>
        <v>125770.5</v>
      </c>
      <c r="D8" s="5">
        <f t="shared" si="0"/>
        <v>18865.580000000002</v>
      </c>
      <c r="E8" s="5">
        <v>1353.9</v>
      </c>
      <c r="F8" s="5">
        <f t="shared" ref="F8" si="5">C8-D8+E8</f>
        <v>108258.81999999999</v>
      </c>
      <c r="G8" s="5">
        <f>ROUND($F8*0.86,2)</f>
        <v>93102.59</v>
      </c>
      <c r="H8" s="5">
        <f t="shared" si="2"/>
        <v>4330.3500000000004</v>
      </c>
      <c r="I8" s="5">
        <f t="shared" si="3"/>
        <v>2706.47</v>
      </c>
      <c r="J8" s="5">
        <f>ROUND($F8*0.025,2)-0.01</f>
        <v>2706.4599999999996</v>
      </c>
      <c r="K8" s="5">
        <f>ROUND($F8*0.025,2)-0.01</f>
        <v>2706.4599999999996</v>
      </c>
      <c r="L8" s="5">
        <f>ROUND($F8*0.025,2)-0.45</f>
        <v>2706.02</v>
      </c>
    </row>
    <row r="9" spans="1:12" ht="15" customHeight="1" x14ac:dyDescent="0.25">
      <c r="A9" s="8"/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1:12" ht="15" customHeight="1" thickBot="1" x14ac:dyDescent="0.3">
      <c r="B10" s="6">
        <f t="shared" ref="B10:L10" si="6">SUM(B6:B9)</f>
        <v>1049210.25</v>
      </c>
      <c r="C10" s="6">
        <f t="shared" si="6"/>
        <v>314763.08</v>
      </c>
      <c r="D10" s="6">
        <f t="shared" si="6"/>
        <v>47214.47</v>
      </c>
      <c r="E10" s="6">
        <f t="shared" si="6"/>
        <v>4554.76</v>
      </c>
      <c r="F10" s="6">
        <f t="shared" si="6"/>
        <v>272103.37</v>
      </c>
      <c r="G10" s="6">
        <f t="shared" si="6"/>
        <v>234008.88</v>
      </c>
      <c r="H10" s="6">
        <f t="shared" si="6"/>
        <v>10884.130000000001</v>
      </c>
      <c r="I10" s="6">
        <f t="shared" si="6"/>
        <v>6802.59</v>
      </c>
      <c r="J10" s="6">
        <f t="shared" si="6"/>
        <v>6802.6099999999988</v>
      </c>
      <c r="K10" s="6">
        <f t="shared" si="6"/>
        <v>6802.83</v>
      </c>
      <c r="L10" s="6">
        <f t="shared" si="6"/>
        <v>6802.8899999999994</v>
      </c>
    </row>
    <row r="11" spans="1:12" ht="15" customHeight="1" thickTop="1" x14ac:dyDescent="0.25"/>
    <row r="12" spans="1:12" ht="15" customHeight="1" x14ac:dyDescent="0.25">
      <c r="A12" s="7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2"/>
  <sheetViews>
    <sheetView workbookViewId="0">
      <pane ySplit="3" topLeftCell="A4" activePane="bottomLeft" state="frozen"/>
      <selection pane="bottomLeft" activeCell="A9" sqref="A9"/>
    </sheetView>
  </sheetViews>
  <sheetFormatPr defaultRowHeight="15" customHeight="1" x14ac:dyDescent="0.25"/>
  <cols>
    <col min="1" max="1" width="15.7109375" customWidth="1"/>
    <col min="2" max="3" width="15" bestFit="1" customWidth="1"/>
    <col min="4" max="4" width="13.28515625" bestFit="1" customWidth="1"/>
    <col min="5" max="5" width="13.7109375" customWidth="1"/>
    <col min="6" max="6" width="11.7109375" customWidth="1"/>
    <col min="7" max="7" width="15" bestFit="1" customWidth="1"/>
    <col min="8" max="8" width="14.28515625" bestFit="1" customWidth="1"/>
    <col min="9" max="10" width="11.7109375" customWidth="1"/>
    <col min="11" max="11" width="13.7109375" bestFit="1" customWidth="1"/>
    <col min="12" max="12" width="11.7109375" customWidth="1"/>
    <col min="13" max="13" width="15.140625" bestFit="1" customWidth="1"/>
  </cols>
  <sheetData>
    <row r="1" spans="1:13" ht="45" x14ac:dyDescent="0.25">
      <c r="B1" s="2" t="s">
        <v>13</v>
      </c>
      <c r="C1" s="2" t="s">
        <v>2</v>
      </c>
      <c r="D1" s="2" t="s">
        <v>12</v>
      </c>
      <c r="E1" s="2" t="s">
        <v>3</v>
      </c>
      <c r="F1" s="3" t="s">
        <v>4</v>
      </c>
      <c r="G1" s="2" t="s">
        <v>14</v>
      </c>
      <c r="H1" s="2" t="s">
        <v>3</v>
      </c>
      <c r="I1" s="2" t="s">
        <v>18</v>
      </c>
      <c r="J1" s="2" t="s">
        <v>5</v>
      </c>
      <c r="K1" s="2" t="s">
        <v>6</v>
      </c>
      <c r="L1" s="2" t="s">
        <v>7</v>
      </c>
      <c r="M1" s="2" t="s">
        <v>8</v>
      </c>
    </row>
    <row r="2" spans="1:13" ht="15" customHeight="1" x14ac:dyDescent="0.25">
      <c r="A2" s="4" t="s">
        <v>22</v>
      </c>
      <c r="B2" s="5">
        <v>2514367.3199999998</v>
      </c>
      <c r="C2" s="5">
        <v>905171.9800000001</v>
      </c>
      <c r="D2" s="5">
        <v>135775.81000000003</v>
      </c>
      <c r="E2" s="5">
        <v>22629.300000000003</v>
      </c>
      <c r="F2" s="5">
        <v>26408.889999999996</v>
      </c>
      <c r="G2" s="5">
        <v>773175.76000000013</v>
      </c>
      <c r="H2" s="5">
        <v>664931.12999999989</v>
      </c>
      <c r="I2" s="5">
        <v>30927.03</v>
      </c>
      <c r="J2" s="5">
        <v>19329.400000000001</v>
      </c>
      <c r="K2" s="5">
        <v>19329.390000000003</v>
      </c>
      <c r="L2" s="5">
        <v>19329.41</v>
      </c>
      <c r="M2" s="5">
        <v>19329.45</v>
      </c>
    </row>
    <row r="4" spans="1:13" ht="15" customHeight="1" x14ac:dyDescent="0.25">
      <c r="A4" s="11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6" spans="1:13" ht="15" customHeight="1" x14ac:dyDescent="0.25">
      <c r="A6" s="4" t="s">
        <v>24</v>
      </c>
      <c r="B6" s="5">
        <v>191312.05000000005</v>
      </c>
      <c r="C6" s="5">
        <f>ROUND(B6*0.36,2)+0.01</f>
        <v>68872.349999999991</v>
      </c>
      <c r="D6" s="5">
        <f t="shared" ref="D6" si="0">ROUND(C6*0.15,2)</f>
        <v>10330.85</v>
      </c>
      <c r="E6" s="5">
        <f t="shared" ref="E6:E8" si="1">ROUND($C6*0.025,2)</f>
        <v>1721.81</v>
      </c>
      <c r="F6" s="5">
        <v>1614.8</v>
      </c>
      <c r="G6" s="5">
        <f t="shared" ref="G6" si="2">C6-D6-E6+F6</f>
        <v>58434.49</v>
      </c>
      <c r="H6" s="5">
        <f>ROUND($G6*0.86,2)+0.01</f>
        <v>50253.670000000006</v>
      </c>
      <c r="I6" s="5">
        <f t="shared" ref="I6:I8" si="3">ROUND($G6*0.04,2)</f>
        <v>2337.38</v>
      </c>
      <c r="J6" s="5">
        <f t="shared" ref="J6:J8" si="4">ROUND($G6*0.025,2)</f>
        <v>1460.86</v>
      </c>
      <c r="K6" s="5">
        <f>ROUND($G6*0.025,2)</f>
        <v>1460.86</v>
      </c>
      <c r="L6" s="5">
        <f>ROUND($G6*0.025,2)+0.03</f>
        <v>1460.8899999999999</v>
      </c>
      <c r="M6" s="5">
        <f>ROUND($G6*0.025,2)+0.75</f>
        <v>1461.61</v>
      </c>
    </row>
    <row r="7" spans="1:13" ht="15" customHeight="1" x14ac:dyDescent="0.25">
      <c r="A7" s="4" t="s">
        <v>25</v>
      </c>
      <c r="B7" s="5">
        <v>380360.6</v>
      </c>
      <c r="C7" s="5">
        <f>ROUND(B7*0.36,2)+0.01</f>
        <v>136929.83000000002</v>
      </c>
      <c r="D7" s="5">
        <f t="shared" ref="D7" si="5">ROUND(C7*0.15,2)</f>
        <v>20539.47</v>
      </c>
      <c r="E7" s="5">
        <f t="shared" si="1"/>
        <v>3423.25</v>
      </c>
      <c r="F7" s="5">
        <v>1586.07</v>
      </c>
      <c r="G7" s="5">
        <f t="shared" ref="G7" si="6">C7-D7-E7+F7</f>
        <v>114553.18000000002</v>
      </c>
      <c r="H7" s="5">
        <f>ROUND($G7*0.86,2)</f>
        <v>98515.73</v>
      </c>
      <c r="I7" s="5">
        <f t="shared" si="3"/>
        <v>4582.13</v>
      </c>
      <c r="J7" s="5">
        <f t="shared" si="4"/>
        <v>2863.83</v>
      </c>
      <c r="K7" s="5">
        <f>ROUND($G7*0.025,2)+0.02</f>
        <v>2863.85</v>
      </c>
      <c r="L7" s="5">
        <f>ROUND($G7*0.025,2)+0.21</f>
        <v>2864.04</v>
      </c>
      <c r="M7" s="5">
        <f>ROUND($G7*0.025,2)</f>
        <v>2863.83</v>
      </c>
    </row>
    <row r="8" spans="1:13" ht="15" customHeight="1" x14ac:dyDescent="0.25">
      <c r="A8" s="4" t="s">
        <v>27</v>
      </c>
      <c r="B8" s="5">
        <v>143299.09</v>
      </c>
      <c r="C8" s="5">
        <f>ROUND(B8*0.36,2)-0.03</f>
        <v>51587.64</v>
      </c>
      <c r="D8" s="5">
        <f t="shared" ref="D8" si="7">ROUND(C8*0.15,2)</f>
        <v>7738.15</v>
      </c>
      <c r="E8" s="5">
        <f t="shared" si="1"/>
        <v>1289.69</v>
      </c>
      <c r="F8" s="5">
        <v>1353.89</v>
      </c>
      <c r="G8" s="5">
        <f t="shared" ref="G8" si="8">C8-D8-E8+F8</f>
        <v>43913.689999999995</v>
      </c>
      <c r="H8" s="5">
        <f>ROUND($G8*0.86,2)+0.01</f>
        <v>37765.78</v>
      </c>
      <c r="I8" s="5">
        <f t="shared" si="3"/>
        <v>1756.55</v>
      </c>
      <c r="J8" s="5">
        <f t="shared" si="4"/>
        <v>1097.8399999999999</v>
      </c>
      <c r="K8" s="5">
        <f>ROUND($G8*0.025,2)-0.01</f>
        <v>1097.83</v>
      </c>
      <c r="L8" s="5">
        <f>ROUND($G8*0.025,2)</f>
        <v>1097.8399999999999</v>
      </c>
      <c r="M8" s="5">
        <f>ROUND($G8*0.025,2)-0.45</f>
        <v>1097.3899999999999</v>
      </c>
    </row>
    <row r="10" spans="1:13" ht="15" customHeight="1" thickBot="1" x14ac:dyDescent="0.3">
      <c r="B10" s="6">
        <f t="shared" ref="B10:M10" si="9">SUM(B6:B9)</f>
        <v>714971.74</v>
      </c>
      <c r="C10" s="6">
        <f t="shared" si="9"/>
        <v>257389.82</v>
      </c>
      <c r="D10" s="6">
        <f t="shared" si="9"/>
        <v>38608.47</v>
      </c>
      <c r="E10" s="6">
        <f t="shared" si="9"/>
        <v>6434.75</v>
      </c>
      <c r="F10" s="6">
        <f t="shared" si="9"/>
        <v>4554.76</v>
      </c>
      <c r="G10" s="6">
        <f t="shared" si="9"/>
        <v>216901.36000000002</v>
      </c>
      <c r="H10" s="6">
        <f t="shared" si="9"/>
        <v>186535.18</v>
      </c>
      <c r="I10" s="6">
        <f t="shared" si="9"/>
        <v>8676.06</v>
      </c>
      <c r="J10" s="6">
        <f t="shared" si="9"/>
        <v>5422.53</v>
      </c>
      <c r="K10" s="6">
        <f t="shared" si="9"/>
        <v>5422.54</v>
      </c>
      <c r="L10" s="6">
        <f t="shared" si="9"/>
        <v>5422.77</v>
      </c>
      <c r="M10" s="6">
        <f t="shared" si="9"/>
        <v>5422.83</v>
      </c>
    </row>
    <row r="11" spans="1:13" ht="15" customHeight="1" thickTop="1" x14ac:dyDescent="0.25"/>
    <row r="12" spans="1:13" ht="15" customHeight="1" x14ac:dyDescent="0.25">
      <c r="A12" s="7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Table Games</vt:lpstr>
      <vt:lpstr>Video Lottery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2024-05-13T19:05:34Z</cp:lastPrinted>
  <dcterms:created xsi:type="dcterms:W3CDTF">2017-06-09T17:49:43Z</dcterms:created>
  <dcterms:modified xsi:type="dcterms:W3CDTF">2025-10-09T17:37:30Z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2024-09-06T15:17:02Z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083676fa-b439-4d81-ac98-3632d5fa5581</vt:lpwstr>
  </property>
  <property fmtid="{D5CDD505-2E9C-101B-9397-08002B2CF9AE}" pid="8" name="MSIP_Label_defa4170-0d19-0005-0004-bc88714345d2_ContentBits">
    <vt:lpwstr>0</vt:lpwstr>
  </property>
</Properties>
</file>